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obb\Dropbox (IPWEA)\Water Directorate\Data - Water Directorate\Newsletters &amp; News articles\2019\"/>
    </mc:Choice>
  </mc:AlternateContent>
  <bookViews>
    <workbookView xWindow="0" yWindow="0" windowWidth="23040" windowHeight="8616"/>
  </bookViews>
  <sheets>
    <sheet name="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6" i="1"/>
  <c r="M8" i="1" l="1"/>
  <c r="D8" i="1"/>
  <c r="D29" i="1" l="1"/>
  <c r="D30" i="1"/>
  <c r="D31" i="1"/>
  <c r="M28" i="1"/>
  <c r="M29" i="1"/>
  <c r="M31" i="1"/>
  <c r="R10" i="1"/>
  <c r="I10" i="1"/>
  <c r="M21" i="1"/>
  <c r="M30" i="1" l="1"/>
  <c r="M26" i="1"/>
  <c r="D28" i="1"/>
  <c r="M22" i="1" l="1"/>
  <c r="D22" i="1"/>
  <c r="P25" i="1" l="1"/>
  <c r="O25" i="1"/>
  <c r="G25" i="1"/>
  <c r="F25" i="1"/>
  <c r="P24" i="1"/>
  <c r="O24" i="1"/>
  <c r="G24" i="1"/>
  <c r="F24" i="1"/>
  <c r="M24" i="1"/>
  <c r="D21" i="1"/>
  <c r="G10" i="1"/>
  <c r="F10" i="1"/>
  <c r="F16" i="1" s="1"/>
  <c r="E15" i="1"/>
  <c r="E30" i="1" s="1"/>
  <c r="E13" i="1"/>
  <c r="E28" i="1" s="1"/>
  <c r="E11" i="1"/>
  <c r="E26" i="1" s="1"/>
  <c r="P10" i="1"/>
  <c r="P14" i="1" s="1"/>
  <c r="O10" i="1"/>
  <c r="O16" i="1" s="1"/>
  <c r="N15" i="1"/>
  <c r="N30" i="1" s="1"/>
  <c r="N13" i="1"/>
  <c r="N28" i="1" s="1"/>
  <c r="N11" i="1"/>
  <c r="N26" i="1" s="1"/>
  <c r="D25" i="1" l="1"/>
  <c r="M25" i="1" s="1"/>
  <c r="M23" i="1"/>
  <c r="D23" i="1"/>
  <c r="F15" i="1"/>
  <c r="F30" i="1" s="1"/>
  <c r="F14" i="1"/>
  <c r="F11" i="1"/>
  <c r="G14" i="1"/>
  <c r="F13" i="1"/>
  <c r="F28" i="1" s="1"/>
  <c r="F12" i="1"/>
  <c r="G12" i="1"/>
  <c r="G16" i="1"/>
  <c r="P16" i="1"/>
  <c r="P15" i="1"/>
  <c r="P30" i="1" s="1"/>
  <c r="P13" i="1"/>
  <c r="P28" i="1" s="1"/>
  <c r="O12" i="1"/>
  <c r="P12" i="1"/>
  <c r="P11" i="1"/>
  <c r="P26" i="1" s="1"/>
  <c r="O14" i="1"/>
  <c r="O15" i="1"/>
  <c r="O30" i="1" s="1"/>
  <c r="G15" i="1"/>
  <c r="G30" i="1" s="1"/>
  <c r="G31" i="1" s="1"/>
  <c r="F26" i="1" l="1"/>
  <c r="O11" i="1"/>
  <c r="G13" i="1"/>
  <c r="G11" i="1"/>
  <c r="T4" i="1" s="1"/>
  <c r="O13" i="1"/>
  <c r="H16" i="1"/>
  <c r="Q16" i="1"/>
  <c r="O26" i="1" l="1"/>
  <c r="U4" i="1"/>
  <c r="T5" i="1" s="1"/>
  <c r="U5" i="1" s="1"/>
  <c r="Q12" i="1"/>
  <c r="H12" i="1"/>
  <c r="G26" i="1"/>
  <c r="H14" i="1"/>
  <c r="G28" i="1"/>
  <c r="Q14" i="1"/>
  <c r="O28" i="1"/>
  <c r="M27" i="1" l="1"/>
  <c r="D27" i="1"/>
  <c r="Q18" i="1"/>
  <c r="H18" i="1"/>
  <c r="H19" i="1" s="1"/>
  <c r="R12" i="1" l="1"/>
  <c r="R27" i="1" s="1"/>
  <c r="Q19" i="1"/>
  <c r="I19" i="1" s="1"/>
  <c r="R16" i="1"/>
  <c r="R31" i="1" s="1"/>
  <c r="R14" i="1"/>
  <c r="R29" i="1" s="1"/>
  <c r="I16" i="1"/>
  <c r="I31" i="1" s="1"/>
  <c r="I12" i="1"/>
  <c r="I14" i="1"/>
  <c r="I29" i="1" s="1"/>
  <c r="I18" i="1" l="1"/>
  <c r="H31" i="1" s="1"/>
  <c r="F31" i="1" s="1"/>
  <c r="R17" i="1"/>
  <c r="I17" i="1"/>
  <c r="I27" i="1"/>
  <c r="Q29" i="1" l="1"/>
  <c r="O29" i="1" s="1"/>
  <c r="H29" i="1"/>
  <c r="H27" i="1"/>
  <c r="F27" i="1" s="1"/>
  <c r="Q31" i="1"/>
  <c r="Q27" i="1"/>
  <c r="P27" i="1" s="1"/>
  <c r="O31" i="1"/>
  <c r="P31" i="1"/>
  <c r="P29" i="1" l="1"/>
  <c r="F29" i="1"/>
  <c r="G29" i="1"/>
  <c r="H33" i="1"/>
  <c r="G27" i="1"/>
  <c r="U22" i="1" s="1"/>
  <c r="Q33" i="1"/>
  <c r="O27" i="1"/>
  <c r="W22" i="1" s="1"/>
</calcChain>
</file>

<file path=xl/sharedStrings.xml><?xml version="1.0" encoding="utf-8"?>
<sst xmlns="http://schemas.openxmlformats.org/spreadsheetml/2006/main" count="118" uniqueCount="34">
  <si>
    <t>Differential Pricing Structure - Calculator</t>
  </si>
  <si>
    <t>Number of connected properties</t>
  </si>
  <si>
    <t>Tariff Structure</t>
  </si>
  <si>
    <t>Access Charge</t>
  </si>
  <si>
    <t>Usage Charge for Step 1</t>
  </si>
  <si>
    <t>Usage Charge for Step 2</t>
  </si>
  <si>
    <t>Usage Charge for Step 3</t>
  </si>
  <si>
    <t>No.</t>
  </si>
  <si>
    <t>Text</t>
  </si>
  <si>
    <t>$</t>
  </si>
  <si>
    <t>Two Part</t>
  </si>
  <si>
    <t>Inclining Block</t>
  </si>
  <si>
    <t>Average Annual Consumption</t>
  </si>
  <si>
    <t>kL</t>
  </si>
  <si>
    <t>Residential Water Supplied</t>
  </si>
  <si>
    <t>Option 1</t>
  </si>
  <si>
    <t>Option 2</t>
  </si>
  <si>
    <t>Collective (Area 1 + Area 2) Results</t>
  </si>
  <si>
    <t>Utility Area 1 Name</t>
  </si>
  <si>
    <t>Utility Area 2 Name</t>
  </si>
  <si>
    <t>The below values can be entered into the portal, if the pricing structure of Area 2 is a preference to be used for data entry</t>
  </si>
  <si>
    <t>The below values can be entered into the portal, if the pricing structure of Area 1 is a preference to be used for data entry</t>
  </si>
  <si>
    <t>Units</t>
  </si>
  <si>
    <t>Step 1 - Upper Limit</t>
  </si>
  <si>
    <t>Step 2 - Upper Limit</t>
  </si>
  <si>
    <t>Step 3 - Upper Limit</t>
  </si>
  <si>
    <t>* If there are more than two areas with differential pricing structure within the utility, please contact us and we would modify the calculator to accommodate the request.</t>
  </si>
  <si>
    <t>All</t>
  </si>
  <si>
    <t>ABC</t>
  </si>
  <si>
    <t>XYZ</t>
  </si>
  <si>
    <r>
      <t xml:space="preserve">* If the differential pricing structure - calculator is used, please email it to </t>
    </r>
    <r>
      <rPr>
        <u/>
        <sz val="11"/>
        <color rgb="FFFF0000"/>
        <rFont val="Georgia"/>
        <family val="1"/>
      </rPr>
      <t>LWU.PerformanceReporting@dpi.nsw.gov.au</t>
    </r>
    <r>
      <rPr>
        <sz val="11"/>
        <color rgb="FFFF0000"/>
        <rFont val="Georgia"/>
        <family val="1"/>
      </rPr>
      <t xml:space="preserve"> with the data entered for the areas with differential pricing.</t>
    </r>
  </si>
  <si>
    <t>Please enter the pricing information of Area 1 in the yellow highlighted cells</t>
  </si>
  <si>
    <t>Please enter the pricing information of Area 2 in the yellow highlighted cells</t>
  </si>
  <si>
    <t>* Please delete the sample data in the yellow highlighted cells and enter the utility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</si>
</sst>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30"/>
      <color theme="1"/>
      <name val="Algerian"/>
      <family val="5"/>
    </font>
    <font>
      <sz val="11"/>
      <color rgb="FFFF0000"/>
      <name val="Georgia"/>
      <family val="1"/>
    </font>
    <font>
      <u/>
      <sz val="11"/>
      <color rgb="FFFF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0" fontId="1" fillId="7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center"/>
      <protection hidden="1"/>
    </xf>
    <xf numFmtId="0" fontId="5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3"/>
  <sheetViews>
    <sheetView showGridLines="0" showRowColHeaders="0" tabSelected="1" workbookViewId="0">
      <selection activeCell="D5" sqref="D5"/>
    </sheetView>
  </sheetViews>
  <sheetFormatPr defaultRowHeight="14.4"/>
  <cols>
    <col min="1" max="1" width="3.88671875" customWidth="1"/>
    <col min="2" max="2" width="36.109375" customWidth="1"/>
    <col min="3" max="3" width="5.88671875" customWidth="1"/>
    <col min="4" max="4" width="20.109375" style="7" customWidth="1"/>
    <col min="5" max="5" width="6.33203125" hidden="1" customWidth="1"/>
    <col min="6" max="8" width="8.88671875" hidden="1" customWidth="1"/>
    <col min="9" max="9" width="8.33203125" hidden="1" customWidth="1"/>
    <col min="10" max="10" width="5.6640625" customWidth="1"/>
    <col min="11" max="11" width="35.88671875" customWidth="1"/>
    <col min="12" max="12" width="5.88671875" customWidth="1"/>
    <col min="13" max="13" width="21.88671875" style="7" customWidth="1"/>
    <col min="14" max="14" width="6.33203125" hidden="1" customWidth="1"/>
    <col min="15" max="15" width="8" hidden="1" customWidth="1"/>
    <col min="16" max="18" width="8.88671875" hidden="1" customWidth="1"/>
    <col min="19" max="21" width="9.109375" hidden="1" customWidth="1"/>
    <col min="22" max="22" width="16.88671875" style="22" hidden="1" customWidth="1"/>
    <col min="23" max="23" width="9.109375" hidden="1" customWidth="1"/>
    <col min="24" max="24" width="3.33203125" customWidth="1"/>
    <col min="30" max="30" width="15.77734375" customWidth="1"/>
  </cols>
  <sheetData>
    <row r="1" spans="2:30">
      <c r="V1" s="21" t="s">
        <v>10</v>
      </c>
    </row>
    <row r="2" spans="2:30" ht="53.4" customHeight="1">
      <c r="B2" s="26" t="s">
        <v>0</v>
      </c>
      <c r="C2" s="27"/>
      <c r="D2" s="28"/>
      <c r="E2" s="27"/>
      <c r="F2" s="27"/>
      <c r="G2" s="27"/>
      <c r="H2" s="27"/>
      <c r="I2" s="27"/>
      <c r="J2" s="27"/>
      <c r="K2" s="27"/>
      <c r="L2" s="27"/>
      <c r="M2" s="29"/>
      <c r="V2" s="21" t="s">
        <v>11</v>
      </c>
      <c r="Y2" s="31" t="s">
        <v>26</v>
      </c>
      <c r="Z2" s="32"/>
      <c r="AA2" s="32"/>
      <c r="AB2" s="32"/>
      <c r="AC2" s="32"/>
      <c r="AD2" s="33"/>
    </row>
    <row r="3" spans="2:30" ht="22.2" customHeight="1">
      <c r="B3" s="18"/>
    </row>
    <row r="4" spans="2:30">
      <c r="B4" s="30" t="s">
        <v>31</v>
      </c>
      <c r="C4" s="30"/>
      <c r="D4" s="30"/>
      <c r="K4" s="30" t="s">
        <v>32</v>
      </c>
      <c r="L4" s="30"/>
      <c r="M4" s="30"/>
      <c r="T4">
        <f>D12*(F11+G11)*D6</f>
        <v>799980.00000000012</v>
      </c>
      <c r="U4">
        <f>M12*(O11+P11)*M6</f>
        <v>720000</v>
      </c>
      <c r="Y4" s="34" t="s">
        <v>30</v>
      </c>
      <c r="Z4" s="35"/>
      <c r="AA4" s="35"/>
      <c r="AB4" s="35"/>
      <c r="AC4" s="35"/>
      <c r="AD4" s="36"/>
    </row>
    <row r="5" spans="2:30">
      <c r="B5" s="19" t="s">
        <v>18</v>
      </c>
      <c r="C5" s="19" t="s">
        <v>22</v>
      </c>
      <c r="D5" s="20" t="s">
        <v>28</v>
      </c>
      <c r="K5" s="19" t="s">
        <v>19</v>
      </c>
      <c r="L5" s="19" t="s">
        <v>22</v>
      </c>
      <c r="M5" s="20" t="s">
        <v>29</v>
      </c>
      <c r="T5">
        <f>U4+T4</f>
        <v>1519980</v>
      </c>
      <c r="U5">
        <f>T5/(((F11+G11)*D6)+((O11+P11)*M6))</f>
        <v>1.8999987499843749</v>
      </c>
      <c r="Y5" s="37"/>
      <c r="Z5" s="38"/>
      <c r="AA5" s="38"/>
      <c r="AB5" s="38"/>
      <c r="AC5" s="38"/>
      <c r="AD5" s="39"/>
    </row>
    <row r="6" spans="2:30">
      <c r="B6" s="8" t="s">
        <v>1</v>
      </c>
      <c r="C6" s="8" t="s">
        <v>7</v>
      </c>
      <c r="D6" s="24">
        <v>3000</v>
      </c>
      <c r="K6" s="8" t="s">
        <v>1</v>
      </c>
      <c r="L6" s="8" t="s">
        <v>7</v>
      </c>
      <c r="M6" s="24">
        <v>2000</v>
      </c>
      <c r="Y6" s="37"/>
      <c r="Z6" s="38"/>
      <c r="AA6" s="38"/>
      <c r="AB6" s="38"/>
      <c r="AC6" s="38"/>
      <c r="AD6" s="39"/>
    </row>
    <row r="7" spans="2:30">
      <c r="B7" s="8" t="s">
        <v>14</v>
      </c>
      <c r="C7" s="8" t="s">
        <v>13</v>
      </c>
      <c r="D7" s="24">
        <v>400000</v>
      </c>
      <c r="K7" s="8" t="s">
        <v>14</v>
      </c>
      <c r="L7" s="8" t="s">
        <v>13</v>
      </c>
      <c r="M7" s="24">
        <v>600000</v>
      </c>
      <c r="Y7" s="40"/>
      <c r="Z7" s="41"/>
      <c r="AA7" s="41"/>
      <c r="AB7" s="41"/>
      <c r="AC7" s="41"/>
      <c r="AD7" s="42"/>
    </row>
    <row r="8" spans="2:30">
      <c r="B8" s="9" t="s">
        <v>12</v>
      </c>
      <c r="C8" s="8" t="s">
        <v>13</v>
      </c>
      <c r="D8" s="14">
        <f>IF(D6="","",ROUND(D7/D6,2))</f>
        <v>133.33000000000001</v>
      </c>
      <c r="K8" s="8" t="s">
        <v>12</v>
      </c>
      <c r="L8" s="8" t="s">
        <v>13</v>
      </c>
      <c r="M8" s="14">
        <f>IF(M6="","",ROUND(M7/M6,2))</f>
        <v>300</v>
      </c>
    </row>
    <row r="9" spans="2:30">
      <c r="B9" s="8" t="s">
        <v>2</v>
      </c>
      <c r="C9" s="8" t="s">
        <v>8</v>
      </c>
      <c r="D9" s="13" t="s">
        <v>10</v>
      </c>
      <c r="F9" s="2" t="s">
        <v>11</v>
      </c>
      <c r="G9" s="2" t="s">
        <v>10</v>
      </c>
      <c r="K9" s="8" t="s">
        <v>2</v>
      </c>
      <c r="L9" s="8" t="s">
        <v>8</v>
      </c>
      <c r="M9" s="13" t="s">
        <v>11</v>
      </c>
      <c r="O9" s="2" t="s">
        <v>11</v>
      </c>
      <c r="P9" s="2" t="s">
        <v>10</v>
      </c>
      <c r="Y9" s="34" t="s">
        <v>33</v>
      </c>
      <c r="Z9" s="35"/>
      <c r="AA9" s="35"/>
      <c r="AB9" s="35"/>
      <c r="AC9" s="35"/>
      <c r="AD9" s="36"/>
    </row>
    <row r="10" spans="2:30">
      <c r="B10" s="8" t="s">
        <v>3</v>
      </c>
      <c r="C10" s="8" t="s">
        <v>9</v>
      </c>
      <c r="D10" s="13">
        <v>150</v>
      </c>
      <c r="F10" s="3">
        <f>IF($D$9=F$9,1,0)</f>
        <v>0</v>
      </c>
      <c r="G10" s="3">
        <f>IF($D$9=G$9,1,0)</f>
        <v>1</v>
      </c>
      <c r="I10">
        <f>D10*D6</f>
        <v>450000</v>
      </c>
      <c r="K10" s="8" t="s">
        <v>3</v>
      </c>
      <c r="L10" s="8" t="s">
        <v>9</v>
      </c>
      <c r="M10" s="13">
        <v>140</v>
      </c>
      <c r="O10" s="3">
        <f>IF($M$9=O$9,1,0)</f>
        <v>1</v>
      </c>
      <c r="P10" s="3">
        <f>IF($M$9=P$9,1,0)</f>
        <v>0</v>
      </c>
      <c r="R10">
        <f>M10*M6</f>
        <v>280000</v>
      </c>
      <c r="Y10" s="37"/>
      <c r="Z10" s="38"/>
      <c r="AA10" s="38"/>
      <c r="AB10" s="38"/>
      <c r="AC10" s="38"/>
      <c r="AD10" s="39"/>
    </row>
    <row r="11" spans="2:30">
      <c r="B11" s="8" t="s">
        <v>23</v>
      </c>
      <c r="C11" s="8" t="s">
        <v>13</v>
      </c>
      <c r="D11" s="13" t="s">
        <v>27</v>
      </c>
      <c r="E11">
        <f>IF(D11="All",10000,D11)</f>
        <v>10000</v>
      </c>
      <c r="F11" s="3">
        <f>IF(F$10=0,0,IF($D$8&lt;=$E11,$D$8,$E11))</f>
        <v>0</v>
      </c>
      <c r="G11" s="3">
        <f>IF(G$10=0,0,IF($D$8&lt;=$E11,$D$8,$E11))</f>
        <v>133.33000000000001</v>
      </c>
      <c r="K11" s="8" t="s">
        <v>23</v>
      </c>
      <c r="L11" s="8" t="s">
        <v>13</v>
      </c>
      <c r="M11" s="13">
        <v>200</v>
      </c>
      <c r="N11">
        <f>IF(M11="All",10000,M11)</f>
        <v>200</v>
      </c>
      <c r="O11" s="3">
        <f>IF(O$10=0,0,IF($M$8&lt;=$N11,$M$8,$N11))</f>
        <v>200</v>
      </c>
      <c r="P11" s="3">
        <f>IF(P$10=0,0,IF($M$8&lt;=$N11,$M$8,$N11))</f>
        <v>0</v>
      </c>
      <c r="Y11" s="37"/>
      <c r="Z11" s="38"/>
      <c r="AA11" s="38"/>
      <c r="AB11" s="38"/>
      <c r="AC11" s="38"/>
      <c r="AD11" s="39"/>
    </row>
    <row r="12" spans="2:30">
      <c r="B12" s="8" t="s">
        <v>4</v>
      </c>
      <c r="C12" s="8" t="s">
        <v>9</v>
      </c>
      <c r="D12" s="13">
        <v>2</v>
      </c>
      <c r="F12" s="3">
        <f>IF(F$10=0,0,$D12)</f>
        <v>0</v>
      </c>
      <c r="G12" s="3">
        <f>IF(G$10=0,0,$D12)</f>
        <v>2</v>
      </c>
      <c r="H12" s="5">
        <f>(F11+G11)*(F12+G12)</f>
        <v>266.66000000000003</v>
      </c>
      <c r="I12" s="2">
        <f>H12/H18</f>
        <v>1</v>
      </c>
      <c r="K12" s="8" t="s">
        <v>4</v>
      </c>
      <c r="L12" s="8" t="s">
        <v>9</v>
      </c>
      <c r="M12" s="13">
        <v>1.8</v>
      </c>
      <c r="O12" s="3">
        <f>IF(O$10=0,0,$M12)</f>
        <v>1.8</v>
      </c>
      <c r="P12" s="3">
        <f>IF(P$10=0,0,$M12)</f>
        <v>0</v>
      </c>
      <c r="Q12" s="5">
        <f>(O11+P11)*(O12+P12)</f>
        <v>360</v>
      </c>
      <c r="R12" s="2">
        <f>Q12/Q18</f>
        <v>0.6428571428571429</v>
      </c>
      <c r="Y12" s="40"/>
      <c r="Z12" s="41"/>
      <c r="AA12" s="41"/>
      <c r="AB12" s="41"/>
      <c r="AC12" s="41"/>
      <c r="AD12" s="42"/>
    </row>
    <row r="13" spans="2:30">
      <c r="B13" s="8" t="s">
        <v>24</v>
      </c>
      <c r="C13" s="8" t="s">
        <v>13</v>
      </c>
      <c r="D13" s="13"/>
      <c r="E13">
        <f>IF(D13="All",10000,D13)</f>
        <v>0</v>
      </c>
      <c r="F13" s="3">
        <f>IF(F$10=0,0,IF($D$8&lt;=$E11,0,IF($D$8&lt;=$E13,($D$8-$E11),($D13-$E11))))</f>
        <v>0</v>
      </c>
      <c r="G13" s="3">
        <f>IF(G$10=0,0,IF($D$8&lt;=$E11,0,IF($D$8&lt;=$E13,($D$8-$E11),($D13-$E11))))</f>
        <v>0</v>
      </c>
      <c r="H13" s="6"/>
      <c r="I13" s="3"/>
      <c r="K13" s="8" t="s">
        <v>24</v>
      </c>
      <c r="L13" s="8" t="s">
        <v>13</v>
      </c>
      <c r="M13" s="13" t="s">
        <v>27</v>
      </c>
      <c r="N13">
        <f>IF(M13="All",10000,M13)</f>
        <v>10000</v>
      </c>
      <c r="O13" s="3">
        <f>IF(O$10=0,0,IF($M$8&lt;=$N11,0,IF($M$8&lt;=$N13,($M$8-$N11),($N13-$N11))))</f>
        <v>100</v>
      </c>
      <c r="P13" s="3">
        <f>IF(P$10=0,0,IF($M$8&lt;=$N11,0,IF($M$8&lt;=$N13,($M$8-$N11),($N13-$N11))))</f>
        <v>0</v>
      </c>
      <c r="Q13" s="6"/>
      <c r="R13" s="3"/>
    </row>
    <row r="14" spans="2:30">
      <c r="B14" s="8" t="s">
        <v>5</v>
      </c>
      <c r="C14" s="8" t="s">
        <v>9</v>
      </c>
      <c r="D14" s="13"/>
      <c r="F14" s="3">
        <f>IF(F$10=0,0,$D14)</f>
        <v>0</v>
      </c>
      <c r="G14" s="3">
        <f>IF(G$10=0,0,$D14)</f>
        <v>0</v>
      </c>
      <c r="H14" s="6">
        <f>(F13+G13)*(F14+G14)</f>
        <v>0</v>
      </c>
      <c r="I14" s="3">
        <f>H14/H18</f>
        <v>0</v>
      </c>
      <c r="K14" s="8" t="s">
        <v>5</v>
      </c>
      <c r="L14" s="8" t="s">
        <v>9</v>
      </c>
      <c r="M14" s="13">
        <v>2</v>
      </c>
      <c r="O14" s="3">
        <f>IF(O$10=0,0,$M14)</f>
        <v>2</v>
      </c>
      <c r="P14" s="3">
        <f>IF(P$10=0,0,$M14)</f>
        <v>0</v>
      </c>
      <c r="Q14" s="6">
        <f>(O13+P13)*(O14+P14)</f>
        <v>200</v>
      </c>
      <c r="R14" s="3">
        <f>Q14/Q18</f>
        <v>0.35714285714285715</v>
      </c>
    </row>
    <row r="15" spans="2:30">
      <c r="B15" s="8" t="s">
        <v>25</v>
      </c>
      <c r="C15" s="8" t="s">
        <v>13</v>
      </c>
      <c r="D15" s="13"/>
      <c r="E15">
        <f>IF(D15="All",10000,D15)</f>
        <v>0</v>
      </c>
      <c r="F15" s="3">
        <f>IF(F$10=0,0,IF($D$8&lt;=$E13,0,IF($D$8&lt;=$E15,($D$8-$E13),($D15-$E13))))</f>
        <v>0</v>
      </c>
      <c r="G15" s="3">
        <f>IF(G$10=0,0,IF($D$8&lt;=$E13,0,IF($D$8&lt;=$E15,($D$8-$E13),($D15-$E13))))</f>
        <v>0</v>
      </c>
      <c r="H15" s="6"/>
      <c r="I15" s="3"/>
      <c r="K15" s="8" t="s">
        <v>25</v>
      </c>
      <c r="L15" s="8" t="s">
        <v>13</v>
      </c>
      <c r="M15" s="13"/>
      <c r="N15">
        <f>IF(M15="All",10000,M15)</f>
        <v>0</v>
      </c>
      <c r="O15" s="3">
        <f>IF(O$10=0,0,IF($M$8&lt;=$N13,0,IF($M$8&lt;=$N15,($M$8-$N13),($N15-$N13))))</f>
        <v>0</v>
      </c>
      <c r="P15" s="3">
        <f>IF(P$10=0,0,IF($M$8&lt;=$N13,0,IF($M$8&lt;=$N15,($M$8-$N13),($N15-$N13))))</f>
        <v>0</v>
      </c>
      <c r="Q15" s="6"/>
      <c r="R15" s="3"/>
    </row>
    <row r="16" spans="2:30">
      <c r="B16" s="8" t="s">
        <v>6</v>
      </c>
      <c r="C16" s="8" t="s">
        <v>9</v>
      </c>
      <c r="D16" s="13"/>
      <c r="F16" s="4">
        <f>IF(F$10=0,0,$D16)</f>
        <v>0</v>
      </c>
      <c r="G16" s="4">
        <f>IF(G$10=0,0,$D16)</f>
        <v>0</v>
      </c>
      <c r="H16" s="6">
        <f>(F15+G15)*(F16+G16)</f>
        <v>0</v>
      </c>
      <c r="I16" s="3">
        <f>H16/H18</f>
        <v>0</v>
      </c>
      <c r="K16" s="8" t="s">
        <v>6</v>
      </c>
      <c r="L16" s="8" t="s">
        <v>9</v>
      </c>
      <c r="M16" s="13"/>
      <c r="O16" s="4">
        <f>IF(O$10=0,0,$M16)</f>
        <v>0</v>
      </c>
      <c r="P16" s="4">
        <f>IF(P$10=0,0,$M16)</f>
        <v>0</v>
      </c>
      <c r="Q16" s="6">
        <f>(O15+P15)*(O16+P16)</f>
        <v>0</v>
      </c>
      <c r="R16" s="3">
        <f>Q16/Q18</f>
        <v>0</v>
      </c>
    </row>
    <row r="17" spans="2:23">
      <c r="H17" s="3"/>
      <c r="I17" s="4">
        <f>SUM(I11:I16)</f>
        <v>1</v>
      </c>
      <c r="Q17" s="3"/>
      <c r="R17" s="4">
        <f>SUM(R11:R16)</f>
        <v>1</v>
      </c>
    </row>
    <row r="18" spans="2:23">
      <c r="H18" s="4">
        <f>SUM(H11:H16)</f>
        <v>266.66000000000003</v>
      </c>
      <c r="I18" s="1">
        <f>I19/D21</f>
        <v>383.99599999999998</v>
      </c>
      <c r="Q18" s="4">
        <f>SUM(Q11:Q16)</f>
        <v>560</v>
      </c>
    </row>
    <row r="19" spans="2:23" s="15" customFormat="1" ht="32.4" customHeight="1">
      <c r="B19" s="30" t="s">
        <v>21</v>
      </c>
      <c r="C19" s="30"/>
      <c r="D19" s="30"/>
      <c r="H19" s="16">
        <f>(D10+H18)*D6</f>
        <v>1249980</v>
      </c>
      <c r="I19" s="17">
        <f>(H19+Q19)-(D25*D21)</f>
        <v>1919980</v>
      </c>
      <c r="K19" s="30" t="s">
        <v>20</v>
      </c>
      <c r="L19" s="30"/>
      <c r="M19" s="30"/>
      <c r="Q19" s="16">
        <f>(M10+Q18)*M6</f>
        <v>1400000</v>
      </c>
      <c r="V19" s="23"/>
    </row>
    <row r="20" spans="2:23">
      <c r="B20" s="11" t="s">
        <v>17</v>
      </c>
      <c r="C20" s="11" t="s">
        <v>22</v>
      </c>
      <c r="D20" s="11" t="s">
        <v>15</v>
      </c>
      <c r="K20" s="11" t="s">
        <v>17</v>
      </c>
      <c r="L20" s="11" t="s">
        <v>22</v>
      </c>
      <c r="M20" s="10" t="s">
        <v>16</v>
      </c>
    </row>
    <row r="21" spans="2:23">
      <c r="B21" s="12" t="s">
        <v>1</v>
      </c>
      <c r="C21" s="12" t="s">
        <v>7</v>
      </c>
      <c r="D21" s="25">
        <f>$D$6+$M$6</f>
        <v>5000</v>
      </c>
      <c r="K21" s="8" t="s">
        <v>1</v>
      </c>
      <c r="L21" s="8" t="s">
        <v>7</v>
      </c>
      <c r="M21" s="25">
        <f>$D$6+$M$6</f>
        <v>5000</v>
      </c>
    </row>
    <row r="22" spans="2:23">
      <c r="B22" s="12" t="s">
        <v>14</v>
      </c>
      <c r="C22" s="12" t="s">
        <v>13</v>
      </c>
      <c r="D22" s="25">
        <f>$D$7+$M$7</f>
        <v>1000000</v>
      </c>
      <c r="K22" s="8" t="s">
        <v>14</v>
      </c>
      <c r="L22" s="8" t="s">
        <v>13</v>
      </c>
      <c r="M22" s="25">
        <f>$D$7+$M$7</f>
        <v>1000000</v>
      </c>
      <c r="U22">
        <f>D25+(D23*D27)</f>
        <v>526</v>
      </c>
      <c r="W22">
        <f>M25+(M26*M27)+((M23-M26)*M29)</f>
        <v>526</v>
      </c>
    </row>
    <row r="23" spans="2:23">
      <c r="B23" s="12" t="s">
        <v>12</v>
      </c>
      <c r="C23" s="12" t="s">
        <v>13</v>
      </c>
      <c r="D23" s="14">
        <f>IFERROR(ROUND(($D$7+$M$7)/$D$21,2),"")</f>
        <v>200</v>
      </c>
      <c r="K23" s="8" t="s">
        <v>12</v>
      </c>
      <c r="L23" s="8" t="s">
        <v>13</v>
      </c>
      <c r="M23" s="14">
        <f>IFERROR(ROUND(($D$7+$M$7)/$D$21,2),"")</f>
        <v>200</v>
      </c>
    </row>
    <row r="24" spans="2:23">
      <c r="B24" s="12" t="s">
        <v>2</v>
      </c>
      <c r="C24" s="12" t="s">
        <v>8</v>
      </c>
      <c r="D24" s="14" t="str">
        <f>D9</f>
        <v>Two Part</v>
      </c>
      <c r="F24" t="str">
        <f>F9</f>
        <v>Inclining Block</v>
      </c>
      <c r="G24" t="str">
        <f>G9</f>
        <v>Two Part</v>
      </c>
      <c r="K24" s="8" t="s">
        <v>2</v>
      </c>
      <c r="L24" s="8" t="s">
        <v>8</v>
      </c>
      <c r="M24" s="14" t="str">
        <f>M9</f>
        <v>Inclining Block</v>
      </c>
      <c r="O24" t="str">
        <f>O9</f>
        <v>Inclining Block</v>
      </c>
      <c r="P24" t="str">
        <f>P9</f>
        <v>Two Part</v>
      </c>
    </row>
    <row r="25" spans="2:23">
      <c r="B25" s="12" t="s">
        <v>3</v>
      </c>
      <c r="C25" s="12" t="s">
        <v>9</v>
      </c>
      <c r="D25" s="14">
        <f>IFERROR(ROUND((($D$10*$D$6)+($M$10*$M$6))/$D$21,0),"")</f>
        <v>146</v>
      </c>
      <c r="F25">
        <f>IF($D$9=F$9,1,0)</f>
        <v>0</v>
      </c>
      <c r="G25">
        <f>IF($D$9=G$9,1,0)</f>
        <v>1</v>
      </c>
      <c r="K25" s="8" t="s">
        <v>3</v>
      </c>
      <c r="L25" s="8" t="s">
        <v>9</v>
      </c>
      <c r="M25" s="14">
        <f>$D$25</f>
        <v>146</v>
      </c>
      <c r="O25">
        <f>IF($M$9=O$9,1,0)</f>
        <v>1</v>
      </c>
      <c r="P25">
        <f>IF($M$9=P$9,1,0)</f>
        <v>0</v>
      </c>
    </row>
    <row r="26" spans="2:23">
      <c r="B26" s="8" t="s">
        <v>23</v>
      </c>
      <c r="C26" s="12" t="s">
        <v>13</v>
      </c>
      <c r="D26" s="14" t="str">
        <f>IF(D11="","",D11)</f>
        <v>All</v>
      </c>
      <c r="E26">
        <f>E11</f>
        <v>10000</v>
      </c>
      <c r="F26">
        <f>F11</f>
        <v>0</v>
      </c>
      <c r="G26">
        <f>G11</f>
        <v>133.33000000000001</v>
      </c>
      <c r="K26" s="8" t="s">
        <v>23</v>
      </c>
      <c r="L26" s="8" t="s">
        <v>13</v>
      </c>
      <c r="M26" s="14">
        <f>IF(M11="","",M11)</f>
        <v>200</v>
      </c>
      <c r="N26">
        <f>N11</f>
        <v>200</v>
      </c>
      <c r="O26">
        <f>O11</f>
        <v>200</v>
      </c>
      <c r="P26">
        <f>P11</f>
        <v>0</v>
      </c>
    </row>
    <row r="27" spans="2:23">
      <c r="B27" s="8" t="s">
        <v>4</v>
      </c>
      <c r="C27" s="12" t="s">
        <v>9</v>
      </c>
      <c r="D27" s="14">
        <f>IFERROR(ROUND(U5,2),"")</f>
        <v>1.9</v>
      </c>
      <c r="F27">
        <f>IF(OR($F$25=0,F26=0),0,ROUND(H27/F26,2))</f>
        <v>0</v>
      </c>
      <c r="G27">
        <f>IF(OR($G$25=0,G26=0),0,ROUND(H27/G26,2))</f>
        <v>2.88</v>
      </c>
      <c r="H27">
        <f>I18*I27</f>
        <v>383.99599999999998</v>
      </c>
      <c r="I27">
        <f>I12</f>
        <v>1</v>
      </c>
      <c r="K27" s="8" t="s">
        <v>4</v>
      </c>
      <c r="L27" s="8" t="s">
        <v>9</v>
      </c>
      <c r="M27" s="14">
        <f>IFERROR(ROUND(U5,2),"")</f>
        <v>1.9</v>
      </c>
      <c r="O27">
        <f>IF(OR($O$25=0,O26=0),0,ROUND(Q27/O26,2))</f>
        <v>1.23</v>
      </c>
      <c r="P27">
        <f>IF(OR($P$25=0,P26=0),0,ROUND(Q27/P26,2))</f>
        <v>0</v>
      </c>
      <c r="Q27">
        <f>I18*R27</f>
        <v>246.85457142857143</v>
      </c>
      <c r="R27">
        <f>R12</f>
        <v>0.6428571428571429</v>
      </c>
    </row>
    <row r="28" spans="2:23">
      <c r="B28" s="8" t="s">
        <v>24</v>
      </c>
      <c r="C28" s="12" t="s">
        <v>13</v>
      </c>
      <c r="D28" s="14" t="str">
        <f>IF(D13="","",D13)</f>
        <v/>
      </c>
      <c r="E28">
        <f>E13</f>
        <v>0</v>
      </c>
      <c r="F28">
        <f>F13</f>
        <v>0</v>
      </c>
      <c r="G28">
        <f>G13</f>
        <v>0</v>
      </c>
      <c r="K28" s="8" t="s">
        <v>24</v>
      </c>
      <c r="L28" s="8" t="s">
        <v>13</v>
      </c>
      <c r="M28" s="14" t="str">
        <f t="shared" ref="M28:M29" si="0">IF(M13="","",M13)</f>
        <v>All</v>
      </c>
      <c r="N28">
        <f>N13</f>
        <v>10000</v>
      </c>
      <c r="O28">
        <f>O13</f>
        <v>100</v>
      </c>
      <c r="P28">
        <f>P13</f>
        <v>0</v>
      </c>
    </row>
    <row r="29" spans="2:23">
      <c r="B29" s="8" t="s">
        <v>5</v>
      </c>
      <c r="C29" s="12" t="s">
        <v>9</v>
      </c>
      <c r="D29" s="14" t="str">
        <f t="shared" ref="D29:D31" si="1">IF(D14="","",D14)</f>
        <v/>
      </c>
      <c r="F29">
        <f>IF(OR($F$25=0,F28=0),0,ROUND(H29/F28,2))</f>
        <v>0</v>
      </c>
      <c r="G29">
        <f>IF(OR($G$25=0,G28=0),0,ROUND(H29/G28,2))</f>
        <v>0</v>
      </c>
      <c r="H29">
        <f>I18*I29</f>
        <v>0</v>
      </c>
      <c r="I29">
        <f>I14</f>
        <v>0</v>
      </c>
      <c r="K29" s="8" t="s">
        <v>5</v>
      </c>
      <c r="L29" s="8" t="s">
        <v>9</v>
      </c>
      <c r="M29" s="14">
        <f t="shared" si="0"/>
        <v>2</v>
      </c>
      <c r="O29">
        <f>IF(OR($O$25=0,O28=0),0,ROUND(Q29/O28,2))</f>
        <v>1.37</v>
      </c>
      <c r="P29">
        <f>IF(OR($P$25=0,P28=0),0,ROUND(Q29/P28,2))</f>
        <v>0</v>
      </c>
      <c r="Q29">
        <f>I18*R29</f>
        <v>137.14142857142858</v>
      </c>
      <c r="R29">
        <f>R14</f>
        <v>0.35714285714285715</v>
      </c>
    </row>
    <row r="30" spans="2:23">
      <c r="B30" s="8" t="s">
        <v>25</v>
      </c>
      <c r="C30" s="12" t="s">
        <v>13</v>
      </c>
      <c r="D30" s="14" t="str">
        <f t="shared" si="1"/>
        <v/>
      </c>
      <c r="E30">
        <f>E15</f>
        <v>0</v>
      </c>
      <c r="F30">
        <f>F15</f>
        <v>0</v>
      </c>
      <c r="G30">
        <f>G15</f>
        <v>0</v>
      </c>
      <c r="K30" s="8" t="s">
        <v>25</v>
      </c>
      <c r="L30" s="8" t="s">
        <v>13</v>
      </c>
      <c r="M30" s="14" t="str">
        <f>IF(M15="","",M15)</f>
        <v/>
      </c>
      <c r="N30">
        <f>N15</f>
        <v>0</v>
      </c>
      <c r="O30">
        <f>O15</f>
        <v>0</v>
      </c>
      <c r="P30">
        <f>P15</f>
        <v>0</v>
      </c>
    </row>
    <row r="31" spans="2:23">
      <c r="B31" s="8" t="s">
        <v>6</v>
      </c>
      <c r="C31" s="12" t="s">
        <v>9</v>
      </c>
      <c r="D31" s="14" t="str">
        <f t="shared" si="1"/>
        <v/>
      </c>
      <c r="F31">
        <f>IF(OR($F$25=0,F30=0),0,ROUND(H31/F30,2))</f>
        <v>0</v>
      </c>
      <c r="G31">
        <f>IF(OR($G$25=0,G30=0),0,ROUND(H31/G30,2))</f>
        <v>0</v>
      </c>
      <c r="H31">
        <f>I18*I31</f>
        <v>0</v>
      </c>
      <c r="I31">
        <f>I16</f>
        <v>0</v>
      </c>
      <c r="K31" s="8" t="s">
        <v>6</v>
      </c>
      <c r="L31" s="8" t="s">
        <v>9</v>
      </c>
      <c r="M31" s="14" t="str">
        <f>IF(M16="","",M16)</f>
        <v/>
      </c>
      <c r="O31">
        <f>IF(OR($O$25=0,O30=0),0,ROUND(Q31/O30,2))</f>
        <v>0</v>
      </c>
      <c r="P31">
        <f>IF(OR($P$25=0,P30=0),0,ROUND(Q31/P30,2))</f>
        <v>0</v>
      </c>
      <c r="Q31">
        <f>I18*R31</f>
        <v>0</v>
      </c>
      <c r="R31">
        <f>R16</f>
        <v>0</v>
      </c>
    </row>
    <row r="33" spans="8:17">
      <c r="H33">
        <f>SUM(H26:H31)</f>
        <v>383.99599999999998</v>
      </c>
      <c r="Q33">
        <f>SUM(Q26:Q31)</f>
        <v>383.99599999999998</v>
      </c>
    </row>
  </sheetData>
  <sheetProtection algorithmName="SHA-512" hashValue="uKZ/3UU13XqWwXfkjOOLGbsRqukEDI2jt+MXq09PprBTcsziamsOl5olzKmQxzixSD6pQjdCJVb7wnZgiDRycA==" saltValue="a8jUsfysS5WWQL9NdA6+Wg==" spinCount="100000" sheet="1" objects="1" scenarios="1" selectLockedCells="1"/>
  <mergeCells count="7">
    <mergeCell ref="B19:D19"/>
    <mergeCell ref="K19:M19"/>
    <mergeCell ref="B4:D4"/>
    <mergeCell ref="K4:M4"/>
    <mergeCell ref="Y2:AD2"/>
    <mergeCell ref="Y4:AD7"/>
    <mergeCell ref="Y9:AD12"/>
  </mergeCells>
  <dataValidations count="1">
    <dataValidation type="list" allowBlank="1" showInputMessage="1" showErrorMessage="1" sqref="D9 M9">
      <formula1>$V$1:$V$2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NSW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vermav</dc:creator>
  <cp:lastModifiedBy>Juliet Cobb</cp:lastModifiedBy>
  <dcterms:created xsi:type="dcterms:W3CDTF">2019-08-12T04:49:50Z</dcterms:created>
  <dcterms:modified xsi:type="dcterms:W3CDTF">2019-08-27T06:15:28Z</dcterms:modified>
</cp:coreProperties>
</file>